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35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18" authorId="0">
      <text>
        <r>
          <rPr>
            <sz val="9"/>
            <color indexed="8"/>
            <rFont val="ＭＳ Ｐゴシック"/>
            <family val="3"/>
          </rPr>
          <t>=D41+$H$28</t>
        </r>
      </text>
    </comment>
    <comment ref="D19" authorId="0">
      <text>
        <r>
          <rPr>
            <sz val="9"/>
            <color indexed="8"/>
            <rFont val="ＭＳ Ｐゴシック"/>
            <family val="3"/>
          </rPr>
          <t>θw(-2)を撮影する時は、
真上が写らない約56度が良い。</t>
        </r>
      </text>
    </comment>
    <comment ref="D23" authorId="0">
      <text>
        <r>
          <rPr>
            <sz val="9"/>
            <color indexed="8"/>
            <rFont val="ＭＳ Ｐゴシック"/>
            <family val="3"/>
          </rPr>
          <t>=D44-$H$29</t>
        </r>
      </text>
    </comment>
    <comment ref="H19" authorId="0">
      <text>
        <r>
          <rPr>
            <sz val="11"/>
            <rFont val="ＭＳ Ｐゴシック"/>
            <family val="3"/>
          </rPr>
          <t>重なりがあるので45度にしてみた</t>
        </r>
      </text>
    </comment>
    <comment ref="I23" authorId="0">
      <text>
        <r>
          <rPr>
            <sz val="9"/>
            <color indexed="8"/>
            <rFont val="ＭＳ Ｐゴシック"/>
            <family val="3"/>
          </rPr>
          <t>=360/ROUNDUP((360/H45),0)</t>
        </r>
      </text>
    </comment>
    <comment ref="J18" authorId="0">
      <text>
        <r>
          <rPr>
            <sz val="9"/>
            <color indexed="8"/>
            <rFont val="ＭＳ Ｐゴシック"/>
            <family val="3"/>
          </rPr>
          <t>この写真は完全にオーバーラップするが、真上の部分をθw(-1)の写真で合成すると、円錐状の露出斑になるので、真上を撮影して、θw（-1)の撮影チルト角を約56度程度に下げるか、Huginで合成する時にθw(-1)の上の部分をカットすると良い。
但し、これでも少し円錐状の模様が残るので、CubicVR(立方体６面分割画)に変換後、GIMPでこの部分をぼかす。</t>
        </r>
      </text>
    </comment>
    <comment ref="J20" authorId="0">
      <text>
        <r>
          <rPr>
            <sz val="9"/>
            <color indexed="8"/>
            <rFont val="ＭＳ Ｐゴシック"/>
            <family val="3"/>
          </rPr>
          <t>θw(-1)､θw(-2)の写真は空だけになることがある。この場合は、この写真のパン角度(0度)を基準にして、θw(-1)､θw(-2)の写真のチルトとパンの角度をHuginで手入力する。</t>
        </r>
      </text>
    </comment>
    <comment ref="J23" authorId="0">
      <text>
        <r>
          <rPr>
            <sz val="9"/>
            <color indexed="8"/>
            <rFont val="ＭＳ Ｐゴシック"/>
            <family val="3"/>
          </rPr>
          <t>これは、三脚無しで撮影する。CubicVR(立方体６面分割画)に変換後、GIMPで手動合成する。三脚の脚の設置部分に石を置いておくと、コントロールポイントになるかも？？</t>
        </r>
      </text>
    </comment>
    <comment ref="Y18" authorId="0">
      <text>
        <r>
          <rPr>
            <sz val="9"/>
            <color indexed="8"/>
            <rFont val="ＭＳ Ｐゴシック"/>
            <family val="3"/>
          </rPr>
          <t>=360/H32</t>
        </r>
      </text>
    </comment>
    <comment ref="Y23" authorId="0">
      <text>
        <r>
          <rPr>
            <sz val="9"/>
            <color indexed="8"/>
            <rFont val="ＭＳ Ｐゴシック"/>
            <family val="3"/>
          </rPr>
          <t>=360/H37</t>
        </r>
      </text>
    </comment>
  </commentList>
</comments>
</file>

<file path=xl/sharedStrings.xml><?xml version="1.0" encoding="utf-8"?>
<sst xmlns="http://schemas.openxmlformats.org/spreadsheetml/2006/main" count="49" uniqueCount="33">
  <si>
    <t>パノラマ撮影角度間隔計算(f=35mm、3:2)</t>
  </si>
  <si>
    <t>Item</t>
  </si>
  <si>
    <t>Unit</t>
  </si>
  <si>
    <t>Value</t>
  </si>
  <si>
    <t>h35</t>
  </si>
  <si>
    <t>mm</t>
  </si>
  <si>
    <t>w35</t>
  </si>
  <si>
    <t>d35</t>
  </si>
  <si>
    <t>ｆ</t>
  </si>
  <si>
    <t>←35mmフィルムカメラ相当の焦点距離</t>
  </si>
  <si>
    <t>θh</t>
  </si>
  <si>
    <t>度</t>
  </si>
  <si>
    <t>θw</t>
  </si>
  <si>
    <t>θd</t>
  </si>
  <si>
    <t>重なり率</t>
  </si>
  <si>
    <t>重なり</t>
  </si>
  <si>
    <t>θh間隔</t>
  </si>
  <si>
    <t>θw間隔</t>
  </si>
  <si>
    <t>θw offset</t>
  </si>
  <si>
    <t>↓チルト角度目盛り</t>
  </si>
  <si>
    <t>↓パン角度目盛り</t>
  </si>
  <si>
    <t>撮影枚数↓</t>
  </si>
  <si>
    <t>Vertical</t>
  </si>
  <si>
    <t>中心</t>
  </si>
  <si>
    <t>下端</t>
  </si>
  <si>
    <t>上端</t>
  </si>
  <si>
    <t>θh間隔(丸め)</t>
  </si>
  <si>
    <t>θw(-2)</t>
  </si>
  <si>
    <t>θw(-1)</t>
  </si>
  <si>
    <t>θw(0)</t>
  </si>
  <si>
    <t>θw(1)</t>
  </si>
  <si>
    <t>θw(2)</t>
  </si>
  <si>
    <t>θw(3)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</si>
</sst>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[RED]\-#,##0"/>
    <numFmt numFmtId="166" formatCode="#,##0"/>
  </numFmts>
  <fonts count="12">
    <font>
      <sz val="11"/>
      <name val="ＭＳ Ｐゴシック"/>
      <family val="3"/>
    </font>
    <font>
      <sz val="10"/>
      <name val="Arial"/>
      <family val="0"/>
    </font>
    <font>
      <b/>
      <sz val="11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2">
    <xf numFmtId="164" fontId="0" fillId="0" borderId="0" xfId="0" applyAlignment="1">
      <alignment vertical="center"/>
    </xf>
    <xf numFmtId="164" fontId="0" fillId="0" borderId="0" xfId="0" applyNumberFormat="1" applyFill="1" applyBorder="1" applyAlignment="1">
      <alignment vertical="top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5" xfId="0" applyBorder="1" applyAlignment="1">
      <alignment vertical="center"/>
    </xf>
    <xf numFmtId="164" fontId="0" fillId="0" borderId="0" xfId="16" applyNumberFormat="1" applyFont="1" applyFill="1" applyBorder="1" applyAlignment="1" applyProtection="1">
      <alignment vertical="top"/>
      <protection/>
    </xf>
    <xf numFmtId="164" fontId="2" fillId="2" borderId="5" xfId="0" applyFont="1" applyFill="1" applyBorder="1" applyAlignment="1">
      <alignment vertical="center"/>
    </xf>
    <xf numFmtId="164" fontId="2" fillId="3" borderId="5" xfId="0" applyFont="1" applyFill="1" applyBorder="1" applyAlignment="1">
      <alignment vertical="center"/>
    </xf>
    <xf numFmtId="164" fontId="0" fillId="0" borderId="6" xfId="0" applyFont="1" applyBorder="1" applyAlignment="1">
      <alignment vertical="center"/>
    </xf>
    <xf numFmtId="164" fontId="0" fillId="4" borderId="5" xfId="0" applyFill="1" applyBorder="1" applyAlignment="1">
      <alignment vertical="center"/>
    </xf>
    <xf numFmtId="164" fontId="0" fillId="0" borderId="7" xfId="0" applyBorder="1" applyAlignment="1">
      <alignment vertical="center"/>
    </xf>
    <xf numFmtId="164" fontId="3" fillId="0" borderId="0" xfId="0" applyNumberFormat="1" applyFont="1" applyFill="1" applyBorder="1" applyAlignment="1">
      <alignment vertical="top"/>
    </xf>
    <xf numFmtId="164" fontId="0" fillId="0" borderId="8" xfId="0" applyBorder="1" applyAlignment="1">
      <alignment vertical="center"/>
    </xf>
    <xf numFmtId="164" fontId="4" fillId="0" borderId="0" xfId="0" applyNumberFormat="1" applyFont="1" applyFill="1" applyBorder="1" applyAlignment="1">
      <alignment vertical="top"/>
    </xf>
    <xf numFmtId="164" fontId="0" fillId="0" borderId="9" xfId="0" applyFont="1" applyBorder="1" applyAlignment="1">
      <alignment vertical="center"/>
    </xf>
    <xf numFmtId="164" fontId="0" fillId="0" borderId="10" xfId="0" applyFont="1" applyBorder="1" applyAlignment="1">
      <alignment vertical="center"/>
    </xf>
    <xf numFmtId="164" fontId="0" fillId="0" borderId="11" xfId="0" applyBorder="1" applyAlignment="1">
      <alignment vertical="center"/>
    </xf>
    <xf numFmtId="164" fontId="5" fillId="0" borderId="0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14" xfId="0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/>
    </xf>
    <xf numFmtId="166" fontId="2" fillId="2" borderId="15" xfId="16" applyNumberFormat="1" applyFont="1" applyFill="1" applyBorder="1" applyAlignment="1" applyProtection="1">
      <alignment vertical="center"/>
      <protection/>
    </xf>
    <xf numFmtId="166" fontId="0" fillId="0" borderId="15" xfId="16" applyNumberFormat="1" applyFont="1" applyFill="1" applyBorder="1" applyAlignment="1" applyProtection="1">
      <alignment vertical="center"/>
      <protection/>
    </xf>
    <xf numFmtId="166" fontId="0" fillId="0" borderId="0" xfId="16" applyNumberFormat="1" applyFont="1" applyFill="1" applyBorder="1" applyAlignment="1" applyProtection="1">
      <alignment vertical="center"/>
      <protection/>
    </xf>
    <xf numFmtId="165" fontId="0" fillId="0" borderId="16" xfId="16" applyFont="1" applyFill="1" applyBorder="1" applyAlignment="1" applyProtection="1">
      <alignment vertical="center"/>
      <protection/>
    </xf>
    <xf numFmtId="164" fontId="0" fillId="0" borderId="16" xfId="0" applyFont="1" applyBorder="1" applyAlignment="1">
      <alignment vertical="center"/>
    </xf>
    <xf numFmtId="164" fontId="0" fillId="5" borderId="17" xfId="0" applyFont="1" applyFill="1" applyBorder="1" applyAlignment="1">
      <alignment vertical="center"/>
    </xf>
    <xf numFmtId="164" fontId="2" fillId="2" borderId="0" xfId="0" applyFont="1" applyFill="1" applyBorder="1" applyAlignment="1">
      <alignment vertical="center" shrinkToFit="1"/>
    </xf>
    <xf numFmtId="165" fontId="0" fillId="0" borderId="0" xfId="16" applyFont="1" applyFill="1" applyBorder="1" applyAlignment="1" applyProtection="1">
      <alignment vertical="center" shrinkToFit="1"/>
      <protection/>
    </xf>
    <xf numFmtId="164" fontId="0" fillId="0" borderId="5" xfId="0" applyFont="1" applyBorder="1" applyAlignment="1">
      <alignment vertical="center" shrinkToFit="1"/>
    </xf>
    <xf numFmtId="164" fontId="5" fillId="0" borderId="4" xfId="0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6" fontId="6" fillId="2" borderId="15" xfId="16" applyNumberFormat="1" applyFont="1" applyFill="1" applyBorder="1" applyAlignment="1" applyProtection="1">
      <alignment vertical="center"/>
      <protection/>
    </xf>
    <xf numFmtId="166" fontId="5" fillId="0" borderId="15" xfId="16" applyNumberFormat="1" applyFont="1" applyFill="1" applyBorder="1" applyAlignment="1" applyProtection="1">
      <alignment vertical="center"/>
      <protection/>
    </xf>
    <xf numFmtId="166" fontId="5" fillId="0" borderId="0" xfId="16" applyNumberFormat="1" applyFont="1" applyFill="1" applyBorder="1" applyAlignment="1" applyProtection="1">
      <alignment vertical="center"/>
      <protection/>
    </xf>
    <xf numFmtId="165" fontId="5" fillId="0" borderId="16" xfId="16" applyFont="1" applyFill="1" applyBorder="1" applyAlignment="1" applyProtection="1">
      <alignment vertical="center"/>
      <protection/>
    </xf>
    <xf numFmtId="164" fontId="5" fillId="0" borderId="16" xfId="0" applyFont="1" applyBorder="1" applyAlignment="1">
      <alignment vertical="center"/>
    </xf>
    <xf numFmtId="164" fontId="5" fillId="5" borderId="17" xfId="0" applyFont="1" applyFill="1" applyBorder="1" applyAlignment="1">
      <alignment vertical="center"/>
    </xf>
    <xf numFmtId="164" fontId="6" fillId="2" borderId="0" xfId="0" applyFont="1" applyFill="1" applyBorder="1" applyAlignment="1">
      <alignment vertical="center" shrinkToFit="1"/>
    </xf>
    <xf numFmtId="165" fontId="6" fillId="2" borderId="0" xfId="16" applyFont="1" applyFill="1" applyBorder="1" applyAlignment="1" applyProtection="1">
      <alignment vertical="center" shrinkToFit="1"/>
      <protection/>
    </xf>
    <xf numFmtId="165" fontId="5" fillId="0" borderId="0" xfId="16" applyFont="1" applyFill="1" applyBorder="1" applyAlignment="1" applyProtection="1">
      <alignment vertical="center" shrinkToFit="1"/>
      <protection/>
    </xf>
    <xf numFmtId="165" fontId="7" fillId="0" borderId="0" xfId="16" applyFont="1" applyFill="1" applyBorder="1" applyAlignment="1" applyProtection="1">
      <alignment vertical="center" shrinkToFit="1"/>
      <protection/>
    </xf>
    <xf numFmtId="164" fontId="5" fillId="0" borderId="5" xfId="0" applyFont="1" applyBorder="1" applyAlignment="1">
      <alignment vertical="center" shrinkToFit="1"/>
    </xf>
    <xf numFmtId="164" fontId="3" fillId="0" borderId="4" xfId="0" applyFont="1" applyBorder="1" applyAlignment="1">
      <alignment vertical="center"/>
    </xf>
    <xf numFmtId="164" fontId="3" fillId="0" borderId="0" xfId="0" applyFont="1" applyBorder="1" applyAlignment="1">
      <alignment vertical="center"/>
    </xf>
    <xf numFmtId="166" fontId="8" fillId="2" borderId="15" xfId="16" applyNumberFormat="1" applyFont="1" applyFill="1" applyBorder="1" applyAlignment="1" applyProtection="1">
      <alignment vertical="center"/>
      <protection/>
    </xf>
    <xf numFmtId="166" fontId="3" fillId="0" borderId="15" xfId="16" applyNumberFormat="1" applyFont="1" applyFill="1" applyBorder="1" applyAlignment="1" applyProtection="1">
      <alignment vertical="center"/>
      <protection/>
    </xf>
    <xf numFmtId="166" fontId="3" fillId="0" borderId="0" xfId="16" applyNumberFormat="1" applyFont="1" applyFill="1" applyBorder="1" applyAlignment="1" applyProtection="1">
      <alignment vertical="center"/>
      <protection/>
    </xf>
    <xf numFmtId="164" fontId="0" fillId="0" borderId="16" xfId="0" applyBorder="1" applyAlignment="1">
      <alignment vertical="center"/>
    </xf>
    <xf numFmtId="164" fontId="3" fillId="5" borderId="17" xfId="0" applyFont="1" applyFill="1" applyBorder="1" applyAlignment="1">
      <alignment vertical="center"/>
    </xf>
    <xf numFmtId="164" fontId="8" fillId="2" borderId="0" xfId="0" applyFont="1" applyFill="1" applyBorder="1" applyAlignment="1">
      <alignment vertical="center" shrinkToFit="1"/>
    </xf>
    <xf numFmtId="165" fontId="8" fillId="2" borderId="0" xfId="16" applyFont="1" applyFill="1" applyBorder="1" applyAlignment="1" applyProtection="1">
      <alignment vertical="center" shrinkToFit="1"/>
      <protection/>
    </xf>
    <xf numFmtId="165" fontId="3" fillId="0" borderId="0" xfId="16" applyFont="1" applyFill="1" applyBorder="1" applyAlignment="1" applyProtection="1">
      <alignment vertical="center" shrinkToFit="1"/>
      <protection/>
    </xf>
    <xf numFmtId="164" fontId="3" fillId="0" borderId="5" xfId="0" applyFont="1" applyBorder="1" applyAlignment="1">
      <alignment vertical="center" shrinkToFit="1"/>
    </xf>
    <xf numFmtId="164" fontId="4" fillId="0" borderId="4" xfId="0" applyFont="1" applyBorder="1" applyAlignment="1">
      <alignment vertical="center"/>
    </xf>
    <xf numFmtId="164" fontId="4" fillId="0" borderId="0" xfId="0" applyFont="1" applyBorder="1" applyAlignment="1">
      <alignment vertical="center"/>
    </xf>
    <xf numFmtId="166" fontId="9" fillId="2" borderId="15" xfId="16" applyNumberFormat="1" applyFont="1" applyFill="1" applyBorder="1" applyAlignment="1" applyProtection="1">
      <alignment vertical="center"/>
      <protection/>
    </xf>
    <xf numFmtId="166" fontId="4" fillId="0" borderId="15" xfId="16" applyNumberFormat="1" applyFont="1" applyFill="1" applyBorder="1" applyAlignment="1" applyProtection="1">
      <alignment vertical="center"/>
      <protection/>
    </xf>
    <xf numFmtId="166" fontId="4" fillId="0" borderId="0" xfId="16" applyNumberFormat="1" applyFont="1" applyFill="1" applyBorder="1" applyAlignment="1" applyProtection="1">
      <alignment vertical="center"/>
      <protection/>
    </xf>
    <xf numFmtId="164" fontId="4" fillId="5" borderId="17" xfId="0" applyFont="1" applyFill="1" applyBorder="1" applyAlignment="1">
      <alignment vertical="center"/>
    </xf>
    <xf numFmtId="164" fontId="9" fillId="2" borderId="0" xfId="0" applyFont="1" applyFill="1" applyBorder="1" applyAlignment="1">
      <alignment vertical="center" shrinkToFit="1"/>
    </xf>
    <xf numFmtId="165" fontId="9" fillId="2" borderId="0" xfId="16" applyFont="1" applyFill="1" applyBorder="1" applyAlignment="1" applyProtection="1">
      <alignment vertical="center" shrinkToFit="1"/>
      <protection/>
    </xf>
    <xf numFmtId="165" fontId="4" fillId="0" borderId="0" xfId="16" applyFont="1" applyFill="1" applyBorder="1" applyAlignment="1" applyProtection="1">
      <alignment vertical="center" shrinkToFit="1"/>
      <protection/>
    </xf>
    <xf numFmtId="164" fontId="4" fillId="0" borderId="5" xfId="0" applyFont="1" applyBorder="1" applyAlignment="1">
      <alignment vertical="center" shrinkToFit="1"/>
    </xf>
    <xf numFmtId="166" fontId="2" fillId="2" borderId="18" xfId="16" applyNumberFormat="1" applyFont="1" applyFill="1" applyBorder="1" applyAlignment="1" applyProtection="1">
      <alignment vertical="center"/>
      <protection/>
    </xf>
    <xf numFmtId="166" fontId="0" fillId="0" borderId="18" xfId="16" applyNumberFormat="1" applyFont="1" applyFill="1" applyBorder="1" applyAlignment="1" applyProtection="1">
      <alignment vertical="center"/>
      <protection/>
    </xf>
    <xf numFmtId="166" fontId="0" fillId="0" borderId="10" xfId="16" applyNumberFormat="1" applyFont="1" applyFill="1" applyBorder="1" applyAlignment="1" applyProtection="1">
      <alignment vertical="center"/>
      <protection/>
    </xf>
    <xf numFmtId="165" fontId="0" fillId="0" borderId="19" xfId="16" applyFont="1" applyFill="1" applyBorder="1" applyAlignment="1" applyProtection="1">
      <alignment vertical="center"/>
      <protection/>
    </xf>
    <xf numFmtId="164" fontId="0" fillId="0" borderId="19" xfId="0" applyFont="1" applyBorder="1" applyAlignment="1">
      <alignment vertical="center"/>
    </xf>
    <xf numFmtId="164" fontId="0" fillId="5" borderId="20" xfId="0" applyFont="1" applyFill="1" applyBorder="1" applyAlignment="1">
      <alignment vertical="center"/>
    </xf>
    <xf numFmtId="164" fontId="2" fillId="2" borderId="10" xfId="0" applyFont="1" applyFill="1" applyBorder="1" applyAlignment="1">
      <alignment vertical="center" shrinkToFit="1"/>
    </xf>
    <xf numFmtId="165" fontId="0" fillId="0" borderId="10" xfId="16" applyFont="1" applyFill="1" applyBorder="1" applyAlignment="1" applyProtection="1">
      <alignment vertical="center" shrinkToFit="1"/>
      <protection/>
    </xf>
    <xf numFmtId="164" fontId="0" fillId="0" borderId="11" xfId="0" applyFont="1" applyBorder="1" applyAlignment="1">
      <alignment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3"/>
  <sheetViews>
    <sheetView tabSelected="1" workbookViewId="0" topLeftCell="A1">
      <selection activeCell="G10" sqref="G10"/>
    </sheetView>
  </sheetViews>
  <sheetFormatPr defaultColWidth="9.00390625" defaultRowHeight="13.5"/>
  <cols>
    <col min="1" max="1" width="0.875" style="0" customWidth="1"/>
    <col min="3" max="3" width="4.25390625" style="0" customWidth="1"/>
    <col min="4" max="9" width="6.625" style="0" customWidth="1"/>
    <col min="10" max="24" width="4.50390625" style="0" customWidth="1"/>
    <col min="25" max="25" width="4.625" style="0" customWidth="1"/>
  </cols>
  <sheetData>
    <row r="1" spans="2:25" ht="13.5">
      <c r="B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7:25" ht="13.5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3.5">
      <c r="B3" s="2" t="s">
        <v>1</v>
      </c>
      <c r="C3" s="3" t="s">
        <v>2</v>
      </c>
      <c r="D3" s="4" t="s">
        <v>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13.5">
      <c r="B4" s="5" t="s">
        <v>4</v>
      </c>
      <c r="C4" s="6" t="s">
        <v>5</v>
      </c>
      <c r="D4" s="7">
        <v>24</v>
      </c>
      <c r="G4" s="1"/>
      <c r="H4" s="1"/>
      <c r="I4" s="1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"/>
      <c r="Y4" s="1"/>
    </row>
    <row r="5" spans="2:25" ht="13.5">
      <c r="B5" s="5" t="s">
        <v>6</v>
      </c>
      <c r="C5" s="6" t="s">
        <v>5</v>
      </c>
      <c r="D5" s="7">
        <v>36</v>
      </c>
      <c r="G5" s="1"/>
      <c r="H5" s="1"/>
      <c r="I5" s="1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"/>
      <c r="Y5" s="1"/>
    </row>
    <row r="6" spans="2:25" ht="13.5">
      <c r="B6" s="5" t="s">
        <v>7</v>
      </c>
      <c r="C6" s="6" t="s">
        <v>5</v>
      </c>
      <c r="D6" s="7">
        <f>SQRT(D4^2+D5^2)</f>
        <v>43.266615305567875</v>
      </c>
      <c r="G6" s="1"/>
      <c r="H6" s="1"/>
      <c r="I6" s="1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1"/>
      <c r="Y6" s="1"/>
    </row>
    <row r="7" spans="2:25" ht="13.5">
      <c r="B7" s="5" t="s">
        <v>8</v>
      </c>
      <c r="C7" s="6" t="s">
        <v>5</v>
      </c>
      <c r="D7" s="9">
        <v>35</v>
      </c>
      <c r="E7" t="s">
        <v>9</v>
      </c>
      <c r="G7" s="1"/>
      <c r="H7" s="1"/>
      <c r="I7" s="1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"/>
      <c r="Y7" s="1"/>
    </row>
    <row r="8" spans="2:25" ht="13.5">
      <c r="B8" s="5" t="s">
        <v>10</v>
      </c>
      <c r="C8" s="6" t="s">
        <v>11</v>
      </c>
      <c r="D8" s="7">
        <f aca="true" t="shared" si="0" ref="D8:D10">180/PI()*2*ATAN(D4/(2*$D$7))</f>
        <v>37.84928883210247</v>
      </c>
      <c r="G8" s="1"/>
      <c r="H8" s="1"/>
      <c r="I8" s="1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"/>
      <c r="Y8" s="1"/>
    </row>
    <row r="9" spans="2:25" ht="13.5">
      <c r="B9" s="5" t="s">
        <v>12</v>
      </c>
      <c r="C9" s="6" t="s">
        <v>11</v>
      </c>
      <c r="D9" s="7">
        <f t="shared" si="0"/>
        <v>54.43222311461495</v>
      </c>
      <c r="G9" s="1"/>
      <c r="H9" s="1"/>
      <c r="I9" s="1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"/>
      <c r="Y9" s="1"/>
    </row>
    <row r="10" spans="2:25" ht="13.5">
      <c r="B10" s="5" t="s">
        <v>13</v>
      </c>
      <c r="C10" s="6" t="s">
        <v>11</v>
      </c>
      <c r="D10" s="7">
        <f t="shared" si="0"/>
        <v>63.43996659541458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2:25" ht="13.5">
      <c r="B11" s="5" t="s">
        <v>14</v>
      </c>
      <c r="C11" s="6"/>
      <c r="D11" s="10">
        <v>0.3</v>
      </c>
      <c r="E11" s="11" t="s">
        <v>15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2:25" ht="13.5">
      <c r="B12" s="5" t="s">
        <v>16</v>
      </c>
      <c r="C12" s="6" t="s">
        <v>11</v>
      </c>
      <c r="D12" s="12">
        <f aca="true" t="shared" si="1" ref="D12:D13">D8*(1-D$11)</f>
        <v>26.494502182471724</v>
      </c>
      <c r="E12" s="13">
        <f>D8*D11</f>
        <v>11.35478664963074</v>
      </c>
      <c r="G12" s="1"/>
      <c r="H12" s="1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"/>
    </row>
    <row r="13" spans="2:25" ht="13.5">
      <c r="B13" s="5" t="s">
        <v>17</v>
      </c>
      <c r="C13" s="6" t="s">
        <v>11</v>
      </c>
      <c r="D13" s="12">
        <f t="shared" si="1"/>
        <v>38.102556180230465</v>
      </c>
      <c r="E13" s="15">
        <f>D9*D11</f>
        <v>16.329666934384484</v>
      </c>
      <c r="G13" s="1"/>
      <c r="H13" s="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"/>
    </row>
    <row r="14" spans="2:25" ht="13.5">
      <c r="B14" s="17" t="s">
        <v>18</v>
      </c>
      <c r="C14" s="18" t="s">
        <v>11</v>
      </c>
      <c r="D14" s="19">
        <f>D9/2</f>
        <v>27.216111557307475</v>
      </c>
      <c r="G14" s="1"/>
      <c r="H14" s="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1"/>
    </row>
    <row r="15" spans="7:25" ht="13.5"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4:25" ht="14.25">
      <c r="D16" s="21" t="s">
        <v>19</v>
      </c>
      <c r="J16" s="21" t="s">
        <v>20</v>
      </c>
      <c r="Y16" s="22" t="s">
        <v>21</v>
      </c>
    </row>
    <row r="17" spans="2:25" ht="27">
      <c r="B17" s="23" t="s">
        <v>22</v>
      </c>
      <c r="C17" s="24"/>
      <c r="D17" s="25" t="s">
        <v>23</v>
      </c>
      <c r="E17" s="25" t="s">
        <v>24</v>
      </c>
      <c r="F17" s="26" t="s">
        <v>25</v>
      </c>
      <c r="G17" s="27" t="s">
        <v>15</v>
      </c>
      <c r="H17" s="27" t="s">
        <v>16</v>
      </c>
      <c r="I17" s="28" t="s">
        <v>26</v>
      </c>
      <c r="J17" s="24">
        <v>0</v>
      </c>
      <c r="K17" s="26">
        <f>J17+1</f>
        <v>1</v>
      </c>
      <c r="L17" s="26">
        <f>K17+1</f>
        <v>2</v>
      </c>
      <c r="M17" s="26">
        <f>L17+1</f>
        <v>3</v>
      </c>
      <c r="N17" s="26">
        <f>M17+1</f>
        <v>4</v>
      </c>
      <c r="O17" s="26">
        <f>N17+1</f>
        <v>5</v>
      </c>
      <c r="P17" s="26">
        <f>O17+1</f>
        <v>6</v>
      </c>
      <c r="Q17" s="26">
        <f>P17+1</f>
        <v>7</v>
      </c>
      <c r="R17" s="26">
        <f>Q17+1</f>
        <v>8</v>
      </c>
      <c r="S17" s="26">
        <f>R17+1</f>
        <v>9</v>
      </c>
      <c r="T17" s="26">
        <f>S17+1</f>
        <v>10</v>
      </c>
      <c r="U17" s="26">
        <f>T17+1</f>
        <v>11</v>
      </c>
      <c r="V17" s="26">
        <f>U17+1</f>
        <v>12</v>
      </c>
      <c r="W17" s="26">
        <f>V17+1</f>
        <v>13</v>
      </c>
      <c r="X17" s="24">
        <f>W17+1</f>
        <v>14</v>
      </c>
      <c r="Y17" s="29">
        <f>SUM(Y18:Y23)</f>
        <v>49</v>
      </c>
    </row>
    <row r="18" spans="2:25" ht="13.5">
      <c r="B18" s="5" t="s">
        <v>27</v>
      </c>
      <c r="C18" s="6" t="s">
        <v>11</v>
      </c>
      <c r="D18" s="30">
        <v>90</v>
      </c>
      <c r="E18" s="31">
        <f aca="true" t="shared" si="2" ref="E18:E23">$D18-($D$9/2)</f>
        <v>62.78388844269253</v>
      </c>
      <c r="F18" s="32">
        <f aca="true" t="shared" si="3" ref="F18:F23">$D18+($D$9/2)</f>
        <v>117.21611155730747</v>
      </c>
      <c r="G18" s="33">
        <f aca="true" t="shared" si="4" ref="G18:G22">F19-E18</f>
        <v>20.1860124638968</v>
      </c>
      <c r="H18" s="34">
        <f>$D$12/COS($F19*PI()/180)</f>
        <v>216.47472979490675</v>
      </c>
      <c r="I18" s="35">
        <f aca="true" t="shared" si="5" ref="I18:I23">360/ROUNDUP((360/H18),0)</f>
        <v>180</v>
      </c>
      <c r="J18" s="36">
        <v>0</v>
      </c>
      <c r="K18" s="37">
        <f aca="true" t="shared" si="6" ref="K18:K23">J18+$I18</f>
        <v>180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8">
        <v>1</v>
      </c>
    </row>
    <row r="19" spans="2:25" ht="13.5">
      <c r="B19" s="39" t="s">
        <v>28</v>
      </c>
      <c r="C19" s="40" t="s">
        <v>11</v>
      </c>
      <c r="D19" s="41">
        <f>(90+1*$D$9-$D$8/2)/2-7</f>
        <v>55.75378934928185</v>
      </c>
      <c r="E19" s="42">
        <f t="shared" si="2"/>
        <v>28.537677791974378</v>
      </c>
      <c r="F19" s="43">
        <f t="shared" si="3"/>
        <v>82.96990090658933</v>
      </c>
      <c r="G19" s="44">
        <f t="shared" si="4"/>
        <v>21.89454532264057</v>
      </c>
      <c r="H19" s="45">
        <f>$D$12/COS($F20*PI()/180)+5</f>
        <v>46.59324195359959</v>
      </c>
      <c r="I19" s="46">
        <f t="shared" si="5"/>
        <v>45</v>
      </c>
      <c r="J19" s="47">
        <v>0</v>
      </c>
      <c r="K19" s="48">
        <f t="shared" si="6"/>
        <v>45</v>
      </c>
      <c r="L19" s="48">
        <f aca="true" t="shared" si="7" ref="L19:L23">K19+$I19</f>
        <v>90</v>
      </c>
      <c r="M19" s="48">
        <f aca="true" t="shared" si="8" ref="M19:M23">L19+$I19</f>
        <v>135</v>
      </c>
      <c r="N19" s="48">
        <f aca="true" t="shared" si="9" ref="N19:N23">M19+$I19</f>
        <v>180</v>
      </c>
      <c r="O19" s="48">
        <f aca="true" t="shared" si="10" ref="O19:O22">N19+$I19</f>
        <v>225</v>
      </c>
      <c r="P19" s="48">
        <f aca="true" t="shared" si="11" ref="P19:P22">O19+$I19</f>
        <v>270</v>
      </c>
      <c r="Q19" s="48">
        <f aca="true" t="shared" si="12" ref="Q19:Q22">P19+$I19</f>
        <v>315</v>
      </c>
      <c r="R19" s="49">
        <f aca="true" t="shared" si="13" ref="R19:R22">Q19+$I19</f>
        <v>360</v>
      </c>
      <c r="S19" s="50"/>
      <c r="T19" s="50"/>
      <c r="U19" s="50"/>
      <c r="V19" s="50"/>
      <c r="W19" s="50"/>
      <c r="X19" s="50"/>
      <c r="Y19" s="51">
        <f aca="true" t="shared" si="14" ref="Y19:Y22">360/I19</f>
        <v>8</v>
      </c>
    </row>
    <row r="20" spans="2:25" ht="13.5">
      <c r="B20" s="52" t="s">
        <v>29</v>
      </c>
      <c r="C20" s="53" t="s">
        <v>11</v>
      </c>
      <c r="D20" s="54">
        <f>$D$14-4</f>
        <v>23.216111557307475</v>
      </c>
      <c r="E20" s="55">
        <f t="shared" si="2"/>
        <v>-4</v>
      </c>
      <c r="F20" s="56">
        <f t="shared" si="3"/>
        <v>50.43222311461495</v>
      </c>
      <c r="G20" s="33">
        <f t="shared" si="4"/>
        <v>16.596363548427043</v>
      </c>
      <c r="H20" s="57">
        <f>$D$12/COS($E20*PI()/180)</f>
        <v>26.559199056512714</v>
      </c>
      <c r="I20" s="58">
        <f t="shared" si="5"/>
        <v>25.714285714285715</v>
      </c>
      <c r="J20" s="59">
        <v>0</v>
      </c>
      <c r="K20" s="60">
        <f t="shared" si="6"/>
        <v>25.714285714285715</v>
      </c>
      <c r="L20" s="60">
        <f t="shared" si="7"/>
        <v>51.42857142857143</v>
      </c>
      <c r="M20" s="60">
        <f t="shared" si="8"/>
        <v>77.14285714285714</v>
      </c>
      <c r="N20" s="60">
        <f t="shared" si="9"/>
        <v>102.85714285714286</v>
      </c>
      <c r="O20" s="60">
        <f t="shared" si="10"/>
        <v>128.57142857142858</v>
      </c>
      <c r="P20" s="60">
        <f t="shared" si="11"/>
        <v>154.2857142857143</v>
      </c>
      <c r="Q20" s="60">
        <f t="shared" si="12"/>
        <v>180.00000000000003</v>
      </c>
      <c r="R20" s="60">
        <f t="shared" si="13"/>
        <v>205.71428571428575</v>
      </c>
      <c r="S20" s="60">
        <f aca="true" t="shared" si="15" ref="S20:S22">R20+$I20</f>
        <v>231.42857142857147</v>
      </c>
      <c r="T20" s="60">
        <f aca="true" t="shared" si="16" ref="T20:T22">S20+$I20</f>
        <v>257.14285714285717</v>
      </c>
      <c r="U20" s="60">
        <f aca="true" t="shared" si="17" ref="U20:U22">T20+$I20</f>
        <v>282.8571428571429</v>
      </c>
      <c r="V20" s="60">
        <f aca="true" t="shared" si="18" ref="V20:V21">U20+$I20</f>
        <v>308.5714285714286</v>
      </c>
      <c r="W20" s="60">
        <f aca="true" t="shared" si="19" ref="W20:W21">V20+$I20</f>
        <v>334.28571428571433</v>
      </c>
      <c r="X20" s="61">
        <f aca="true" t="shared" si="20" ref="X20:X21">W20+$I20</f>
        <v>360.00000000000006</v>
      </c>
      <c r="Y20" s="62">
        <f t="shared" si="14"/>
        <v>14</v>
      </c>
    </row>
    <row r="21" spans="2:25" ht="13.5">
      <c r="B21" s="52" t="s">
        <v>30</v>
      </c>
      <c r="C21" s="53" t="s">
        <v>11</v>
      </c>
      <c r="D21" s="54">
        <f>-($D$9/2-(2*$D$9-(90-$D$8/2))/3)</f>
        <v>-14.61974800888043</v>
      </c>
      <c r="E21" s="55">
        <f t="shared" si="2"/>
        <v>-41.83585956618791</v>
      </c>
      <c r="F21" s="56">
        <f t="shared" si="3"/>
        <v>12.596363548427044</v>
      </c>
      <c r="G21" s="33">
        <f t="shared" si="4"/>
        <v>12.596363548427039</v>
      </c>
      <c r="H21" s="57">
        <f>$D$12/COS(E20*PI()/180)</f>
        <v>26.559199056512714</v>
      </c>
      <c r="I21" s="58">
        <f t="shared" si="5"/>
        <v>25.714285714285715</v>
      </c>
      <c r="J21" s="59">
        <v>0</v>
      </c>
      <c r="K21" s="60">
        <f t="shared" si="6"/>
        <v>25.714285714285715</v>
      </c>
      <c r="L21" s="60">
        <f t="shared" si="7"/>
        <v>51.42857142857143</v>
      </c>
      <c r="M21" s="60">
        <f t="shared" si="8"/>
        <v>77.14285714285714</v>
      </c>
      <c r="N21" s="60">
        <f t="shared" si="9"/>
        <v>102.85714285714286</v>
      </c>
      <c r="O21" s="60">
        <f t="shared" si="10"/>
        <v>128.57142857142858</v>
      </c>
      <c r="P21" s="60">
        <f t="shared" si="11"/>
        <v>154.2857142857143</v>
      </c>
      <c r="Q21" s="60">
        <f t="shared" si="12"/>
        <v>180.00000000000003</v>
      </c>
      <c r="R21" s="60">
        <f t="shared" si="13"/>
        <v>205.71428571428575</v>
      </c>
      <c r="S21" s="60">
        <f t="shared" si="15"/>
        <v>231.42857142857147</v>
      </c>
      <c r="T21" s="60">
        <f t="shared" si="16"/>
        <v>257.14285714285717</v>
      </c>
      <c r="U21" s="60">
        <f t="shared" si="17"/>
        <v>282.8571428571429</v>
      </c>
      <c r="V21" s="60">
        <f t="shared" si="18"/>
        <v>308.5714285714286</v>
      </c>
      <c r="W21" s="60">
        <f t="shared" si="19"/>
        <v>334.28571428571433</v>
      </c>
      <c r="X21" s="61">
        <f t="shared" si="20"/>
        <v>360.00000000000006</v>
      </c>
      <c r="Y21" s="62">
        <f t="shared" si="14"/>
        <v>14</v>
      </c>
    </row>
    <row r="22" spans="2:25" ht="13.5">
      <c r="B22" s="63" t="s">
        <v>31</v>
      </c>
      <c r="C22" s="64" t="s">
        <v>11</v>
      </c>
      <c r="D22" s="65">
        <f>-($D$9*(1+1/2)-2*(2*$D$9-(90-$D$8/2))/3)</f>
        <v>-56.45560757506834</v>
      </c>
      <c r="E22" s="66">
        <f t="shared" si="2"/>
        <v>-83.67171913237581</v>
      </c>
      <c r="F22" s="67">
        <f t="shared" si="3"/>
        <v>-29.239496017760867</v>
      </c>
      <c r="G22" s="33">
        <f t="shared" si="4"/>
        <v>20.887830689683284</v>
      </c>
      <c r="H22" s="57">
        <f aca="true" t="shared" si="21" ref="H22:H23">$D$12/COS($E21*PI()/180)</f>
        <v>35.560288662133935</v>
      </c>
      <c r="I22" s="68">
        <f t="shared" si="5"/>
        <v>32.72727272727273</v>
      </c>
      <c r="J22" s="69">
        <v>0</v>
      </c>
      <c r="K22" s="70">
        <f t="shared" si="6"/>
        <v>32.72727272727273</v>
      </c>
      <c r="L22" s="70">
        <f t="shared" si="7"/>
        <v>65.45454545454545</v>
      </c>
      <c r="M22" s="70">
        <f t="shared" si="8"/>
        <v>98.18181818181819</v>
      </c>
      <c r="N22" s="70">
        <f t="shared" si="9"/>
        <v>130.9090909090909</v>
      </c>
      <c r="O22" s="70">
        <f t="shared" si="10"/>
        <v>163.63636363636363</v>
      </c>
      <c r="P22" s="70">
        <f t="shared" si="11"/>
        <v>196.36363636363635</v>
      </c>
      <c r="Q22" s="70">
        <f t="shared" si="12"/>
        <v>229.09090909090907</v>
      </c>
      <c r="R22" s="70">
        <f t="shared" si="13"/>
        <v>261.8181818181818</v>
      </c>
      <c r="S22" s="70">
        <f t="shared" si="15"/>
        <v>294.54545454545456</v>
      </c>
      <c r="T22" s="70">
        <f t="shared" si="16"/>
        <v>327.2727272727273</v>
      </c>
      <c r="U22" s="71">
        <f t="shared" si="17"/>
        <v>360.00000000000006</v>
      </c>
      <c r="V22" s="71"/>
      <c r="W22" s="71"/>
      <c r="X22" s="71"/>
      <c r="Y22" s="72">
        <f t="shared" si="14"/>
        <v>11</v>
      </c>
    </row>
    <row r="23" spans="2:25" ht="13.5">
      <c r="B23" s="17" t="s">
        <v>32</v>
      </c>
      <c r="C23" s="18" t="s">
        <v>11</v>
      </c>
      <c r="D23" s="73">
        <v>-90</v>
      </c>
      <c r="E23" s="74">
        <f t="shared" si="2"/>
        <v>-117.21611155730747</v>
      </c>
      <c r="F23" s="75">
        <f t="shared" si="3"/>
        <v>-62.78388844269253</v>
      </c>
      <c r="G23" s="76"/>
      <c r="H23" s="77">
        <f t="shared" si="21"/>
        <v>240.36764387439916</v>
      </c>
      <c r="I23" s="78">
        <f t="shared" si="5"/>
        <v>180</v>
      </c>
      <c r="J23" s="79">
        <v>0</v>
      </c>
      <c r="K23" s="80">
        <f t="shared" si="6"/>
        <v>180</v>
      </c>
      <c r="L23" s="80">
        <f t="shared" si="7"/>
        <v>360</v>
      </c>
      <c r="M23" s="80">
        <f t="shared" si="8"/>
        <v>540</v>
      </c>
      <c r="N23" s="80">
        <f t="shared" si="9"/>
        <v>720</v>
      </c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1">
        <v>1</v>
      </c>
    </row>
  </sheetData>
  <sheetProtection selectLockedCells="1" selectUnlockedCells="1"/>
  <printOptions/>
  <pageMargins left="0.5902777777777778" right="0.5902777777777778" top="0.7875" bottom="0.39305555555555555" header="0.5118055555555555" footer="0.19652777777777777"/>
  <pageSetup cellComments="atEnd" fitToHeight="1" fitToWidth="1" horizontalDpi="300" verticalDpi="300" orientation="landscape" paperSize="9"/>
  <headerFooter alignWithMargins="0">
    <oddFooter>&amp;R&amp;D &amp;F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JOYA</dc:creator>
  <cp:keywords/>
  <dc:description/>
  <cp:lastModifiedBy/>
  <cp:lastPrinted>2009-05-03T01:03:38Z</cp:lastPrinted>
  <dcterms:created xsi:type="dcterms:W3CDTF">2009-01-25T00:03:49Z</dcterms:created>
  <dcterms:modified xsi:type="dcterms:W3CDTF">2014-06-21T06:01:00Z</dcterms:modified>
  <cp:category/>
  <cp:version/>
  <cp:contentType/>
  <cp:contentStatus/>
  <cp:revision>1</cp:revision>
</cp:coreProperties>
</file>